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5" windowWidth="14985" windowHeight="9315" activeTab="0"/>
  </bookViews>
  <sheets>
    <sheet name="Sheet1" sheetId="1" r:id="rId1"/>
  </sheets>
  <definedNames>
    <definedName name="Diameter">'Sheet1'!$B$3</definedName>
    <definedName name="Freq">'Sheet1'!$F$2</definedName>
    <definedName name="Lc">'Sheet1'!$F$4</definedName>
    <definedName name="Length">'Sheet1'!$B$2</definedName>
    <definedName name="Lg">'Sheet1'!$F$5</definedName>
    <definedName name="Lo">'Sheet1'!$F$3</definedName>
    <definedName name="NEC2">'Sheet1'!$A$11:$J$39</definedName>
    <definedName name="Radius">'Sheet1'!$B$4</definedName>
  </definedNames>
  <calcPr fullCalcOnLoad="1"/>
</workbook>
</file>

<file path=xl/sharedStrings.xml><?xml version="1.0" encoding="utf-8"?>
<sst xmlns="http://schemas.openxmlformats.org/spreadsheetml/2006/main" count="65" uniqueCount="49">
  <si>
    <t>SP</t>
  </si>
  <si>
    <t>SC</t>
  </si>
  <si>
    <t>GM</t>
  </si>
  <si>
    <t>GX</t>
  </si>
  <si>
    <t>GW</t>
  </si>
  <si>
    <t>GE</t>
  </si>
  <si>
    <t>FR</t>
  </si>
  <si>
    <t>EX</t>
  </si>
  <si>
    <t>LD</t>
  </si>
  <si>
    <t>RP</t>
  </si>
  <si>
    <t>EN</t>
  </si>
  <si>
    <t>Lo</t>
  </si>
  <si>
    <t>Lc</t>
  </si>
  <si>
    <t>Lg</t>
  </si>
  <si>
    <t>Lo/4</t>
  </si>
  <si>
    <t>Lg/4</t>
  </si>
  <si>
    <t>Degrees</t>
  </si>
  <si>
    <t>Len</t>
  </si>
  <si>
    <t>Radius</t>
  </si>
  <si>
    <t>D</t>
  </si>
  <si>
    <t>NEC2 data</t>
  </si>
  <si>
    <t>Operating freq:</t>
  </si>
  <si>
    <t>Distance from back.</t>
  </si>
  <si>
    <t>Length of probe.</t>
  </si>
  <si>
    <t>midpoint</t>
  </si>
  <si>
    <t>probe</t>
  </si>
  <si>
    <t>patch width</t>
  </si>
  <si>
    <t>TE11</t>
  </si>
  <si>
    <t>TM01</t>
  </si>
  <si>
    <t>Segs</t>
  </si>
  <si>
    <t>TE21</t>
  </si>
  <si>
    <t>Cutoff frequency:</t>
  </si>
  <si>
    <t>Circular waveguide NEC2 data generator - http://www.ivor.it (ivor@ivor.org)
NEC2 fomat data based on original Coffee.nec from W1GHZ and PA3AEF. Values in yellow can be altered.
Ideally the operating frequency should be between TE11 and TM01. It must be below TE21. Length should be Lg if possible.</t>
  </si>
  <si>
    <t>CM</t>
  </si>
  <si>
    <t>CE</t>
  </si>
  <si>
    <t>Coffee Can Feed Antenna</t>
  </si>
  <si>
    <t>Open cylindrical waveguide</t>
  </si>
  <si>
    <t>Length</t>
  </si>
  <si>
    <t>Diameter</t>
  </si>
  <si>
    <t>by ivor@ivor.org from original by W1GHZ from PA3AEF</t>
  </si>
  <si>
    <t>Modified by jeffl@comix.santa-cruz.ca.us</t>
  </si>
  <si>
    <t>**********************************************</t>
  </si>
  <si>
    <t>Lo = Wavelength in free space</t>
  </si>
  <si>
    <t>Lc = Wavelength of low cutoff freq</t>
  </si>
  <si>
    <t>Lg = Standing wavelength in tube.</t>
  </si>
  <si>
    <t xml:space="preserve">Lo/4 = </t>
  </si>
  <si>
    <t>Intermediate calcs for NEC2 data.</t>
  </si>
  <si>
    <t>Chnl</t>
  </si>
  <si>
    <t>GHz</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</si>
</sst>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00"/>
    <numFmt numFmtId="174" formatCode="0.000"/>
    <numFmt numFmtId="175" formatCode="0.000000"/>
    <numFmt numFmtId="176" formatCode="0.00000000"/>
    <numFmt numFmtId="177" formatCode="0.000&quot;MHz&quot;"/>
    <numFmt numFmtId="178" formatCode="0.000&quot;mm&quot;"/>
    <numFmt numFmtId="179" formatCode="0.0000000"/>
    <numFmt numFmtId="180" formatCode="0.000&quot;GHz&quot;"/>
    <numFmt numFmtId="181" formatCode="0.00&quot;in&quot;"/>
    <numFmt numFmtId="182" formatCode="0&quot;mm&quot;"/>
  </numFmts>
  <fonts count="4">
    <font>
      <sz val="10"/>
      <name val="Arial"/>
      <family val="0"/>
    </font>
    <font>
      <sz val="10"/>
      <color indexed="23"/>
      <name val="Arial"/>
      <family val="0"/>
    </font>
    <font>
      <b/>
      <sz val="10"/>
      <name val="Arial"/>
      <family val="2"/>
    </font>
    <font>
      <sz val="10"/>
      <color indexed="10"/>
      <name val="Arial"/>
      <family val="0"/>
    </font>
  </fonts>
  <fills count="6">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9"/>
        <bgColor indexed="64"/>
      </patternFill>
    </fill>
  </fills>
  <borders count="9">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172" fontId="0" fillId="0" borderId="0" xfId="0" applyNumberFormat="1" applyAlignment="1">
      <alignment/>
    </xf>
    <xf numFmtId="173" fontId="0" fillId="0" borderId="0" xfId="0" applyNumberFormat="1" applyAlignment="1">
      <alignment/>
    </xf>
    <xf numFmtId="172" fontId="0" fillId="0" borderId="0" xfId="0" applyNumberFormat="1" applyAlignment="1">
      <alignment horizontal="right"/>
    </xf>
    <xf numFmtId="0" fontId="0" fillId="0" borderId="0" xfId="0" applyAlignment="1">
      <alignment horizontal="right"/>
    </xf>
    <xf numFmtId="174" fontId="0" fillId="0" borderId="0" xfId="0" applyNumberFormat="1" applyBorder="1" applyAlignment="1">
      <alignment/>
    </xf>
    <xf numFmtId="0" fontId="1" fillId="0" borderId="0" xfId="0" applyFont="1" applyAlignment="1">
      <alignment/>
    </xf>
    <xf numFmtId="172" fontId="1" fillId="0" borderId="0" xfId="0" applyNumberFormat="1" applyFont="1" applyAlignment="1">
      <alignment/>
    </xf>
    <xf numFmtId="0" fontId="1" fillId="0" borderId="0" xfId="0" applyNumberFormat="1" applyFont="1" applyFill="1" applyAlignment="1">
      <alignment/>
    </xf>
    <xf numFmtId="0" fontId="1" fillId="0" borderId="0" xfId="0" applyFont="1" applyFill="1" applyAlignment="1">
      <alignment/>
    </xf>
    <xf numFmtId="174" fontId="0" fillId="0" borderId="0" xfId="15" applyNumberFormat="1" applyFont="1" applyBorder="1" applyAlignment="1">
      <alignment/>
    </xf>
    <xf numFmtId="0" fontId="0" fillId="0" borderId="0" xfId="0" applyFill="1" applyAlignment="1">
      <alignment/>
    </xf>
    <xf numFmtId="172" fontId="0" fillId="0" borderId="0" xfId="0" applyNumberFormat="1" applyFill="1" applyAlignment="1">
      <alignment/>
    </xf>
    <xf numFmtId="0" fontId="0" fillId="0" borderId="0" xfId="15" applyNumberFormat="1" applyFill="1" applyBorder="1" applyAlignment="1">
      <alignment/>
    </xf>
    <xf numFmtId="0" fontId="0" fillId="0" borderId="0" xfId="0" applyFill="1" applyBorder="1" applyAlignment="1">
      <alignment/>
    </xf>
    <xf numFmtId="178" fontId="0" fillId="0" borderId="0" xfId="0" applyNumberFormat="1" applyFill="1" applyBorder="1" applyAlignment="1">
      <alignment/>
    </xf>
    <xf numFmtId="0" fontId="0" fillId="0" borderId="0" xfId="0" applyNumberFormat="1" applyFill="1" applyBorder="1" applyAlignment="1">
      <alignment/>
    </xf>
    <xf numFmtId="178" fontId="0" fillId="0" borderId="0" xfId="0" applyNumberFormat="1" applyAlignment="1">
      <alignment/>
    </xf>
    <xf numFmtId="180" fontId="0" fillId="2" borderId="0" xfId="0" applyNumberFormat="1" applyFill="1" applyAlignment="1">
      <alignment/>
    </xf>
    <xf numFmtId="182" fontId="0" fillId="2" borderId="0" xfId="0" applyNumberFormat="1" applyFill="1" applyAlignment="1">
      <alignment/>
    </xf>
    <xf numFmtId="182" fontId="0" fillId="0" borderId="0" xfId="0" applyNumberFormat="1" applyAlignment="1">
      <alignment/>
    </xf>
    <xf numFmtId="181" fontId="3" fillId="0" borderId="0" xfId="0" applyNumberFormat="1" applyFont="1" applyAlignment="1">
      <alignment/>
    </xf>
    <xf numFmtId="172" fontId="0" fillId="3" borderId="1" xfId="0" applyNumberFormat="1" applyFont="1" applyFill="1" applyBorder="1" applyAlignment="1" applyProtection="1">
      <alignment/>
      <protection/>
    </xf>
    <xf numFmtId="0" fontId="0" fillId="3" borderId="0" xfId="0" applyNumberFormat="1" applyFont="1" applyFill="1" applyBorder="1" applyAlignment="1" applyProtection="1">
      <alignment/>
      <protection/>
    </xf>
    <xf numFmtId="178" fontId="2" fillId="4" borderId="0" xfId="0" applyNumberFormat="1" applyFont="1" applyFill="1" applyAlignment="1">
      <alignment/>
    </xf>
    <xf numFmtId="180" fontId="2" fillId="4" borderId="0" xfId="0" applyNumberFormat="1" applyFont="1" applyFill="1" applyAlignment="1">
      <alignment/>
    </xf>
    <xf numFmtId="172" fontId="0" fillId="5" borderId="2" xfId="0" applyNumberFormat="1" applyFill="1" applyBorder="1" applyAlignment="1">
      <alignment horizontal="right"/>
    </xf>
    <xf numFmtId="172" fontId="0" fillId="5" borderId="3" xfId="0" applyNumberFormat="1" applyFill="1" applyBorder="1" applyAlignment="1">
      <alignment horizontal="right"/>
    </xf>
    <xf numFmtId="0" fontId="0" fillId="5" borderId="1" xfId="0" applyNumberFormat="1" applyFill="1" applyBorder="1" applyAlignment="1">
      <alignment horizontal="right"/>
    </xf>
    <xf numFmtId="174" fontId="0" fillId="5" borderId="4" xfId="0" applyNumberFormat="1" applyFill="1" applyBorder="1" applyAlignment="1">
      <alignment horizontal="right"/>
    </xf>
    <xf numFmtId="0" fontId="0" fillId="5" borderId="5" xfId="0" applyNumberFormat="1" applyFill="1" applyBorder="1" applyAlignment="1">
      <alignment horizontal="right"/>
    </xf>
    <xf numFmtId="174" fontId="0" fillId="5" borderId="6" xfId="0" applyNumberFormat="1" applyFill="1" applyBorder="1" applyAlignment="1">
      <alignment horizontal="right"/>
    </xf>
    <xf numFmtId="172" fontId="0" fillId="3" borderId="2" xfId="0" applyNumberFormat="1" applyFill="1" applyBorder="1" applyAlignment="1">
      <alignment/>
    </xf>
    <xf numFmtId="172" fontId="0" fillId="3" borderId="1" xfId="0" applyNumberFormat="1" applyFill="1" applyBorder="1" applyAlignment="1">
      <alignment/>
    </xf>
    <xf numFmtId="172" fontId="0" fillId="3" borderId="0" xfId="0" applyNumberFormat="1" applyFont="1"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182" fontId="2" fillId="3" borderId="0" xfId="0" applyNumberFormat="1" applyFont="1" applyFill="1" applyBorder="1" applyAlignment="1">
      <alignment horizontal="left"/>
    </xf>
    <xf numFmtId="172" fontId="0" fillId="3" borderId="0" xfId="0" applyNumberFormat="1" applyFont="1" applyFill="1" applyBorder="1" applyAlignment="1" applyProtection="1">
      <alignment/>
      <protection/>
    </xf>
    <xf numFmtId="173" fontId="0" fillId="3" borderId="0" xfId="0" applyNumberFormat="1" applyFont="1" applyFill="1" applyBorder="1" applyAlignment="1" applyProtection="1">
      <alignment/>
      <protection/>
    </xf>
    <xf numFmtId="172" fontId="0" fillId="3" borderId="4" xfId="0" applyNumberFormat="1" applyFont="1" applyFill="1" applyBorder="1" applyAlignment="1" applyProtection="1">
      <alignment/>
      <protection/>
    </xf>
    <xf numFmtId="0" fontId="0" fillId="3" borderId="4" xfId="0" applyFont="1" applyFill="1" applyBorder="1" applyAlignment="1" applyProtection="1">
      <alignment/>
      <protection/>
    </xf>
    <xf numFmtId="0" fontId="0" fillId="3" borderId="0" xfId="0" applyFont="1" applyFill="1" applyBorder="1" applyAlignment="1" applyProtection="1">
      <alignment/>
      <protection/>
    </xf>
    <xf numFmtId="0" fontId="0" fillId="3" borderId="1" xfId="0" applyFont="1" applyFill="1" applyBorder="1" applyAlignment="1" applyProtection="1">
      <alignment/>
      <protection/>
    </xf>
    <xf numFmtId="174" fontId="0" fillId="3" borderId="0" xfId="0" applyNumberFormat="1" applyFont="1" applyFill="1" applyBorder="1" applyAlignment="1" applyProtection="1">
      <alignment/>
      <protection/>
    </xf>
    <xf numFmtId="11" fontId="0" fillId="3" borderId="0" xfId="0" applyNumberFormat="1" applyFont="1" applyFill="1" applyBorder="1" applyAlignment="1" applyProtection="1">
      <alignment/>
      <protection/>
    </xf>
    <xf numFmtId="0" fontId="0" fillId="3" borderId="5" xfId="0" applyFont="1" applyFill="1" applyBorder="1" applyAlignment="1" applyProtection="1">
      <alignment/>
      <protection/>
    </xf>
    <xf numFmtId="0" fontId="0" fillId="3" borderId="7" xfId="0" applyFont="1" applyFill="1" applyBorder="1" applyAlignment="1" applyProtection="1">
      <alignment/>
      <protection/>
    </xf>
    <xf numFmtId="0" fontId="0" fillId="3" borderId="6" xfId="0" applyFont="1" applyFill="1" applyBorder="1" applyAlignment="1" applyProtection="1">
      <alignment/>
      <protection/>
    </xf>
    <xf numFmtId="178" fontId="1" fillId="0" borderId="0" xfId="0" applyNumberFormat="1" applyFont="1" applyFill="1" applyAlignment="1">
      <alignment/>
    </xf>
    <xf numFmtId="172" fontId="0" fillId="3" borderId="0" xfId="0" applyNumberFormat="1" applyFont="1"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2" fillId="0" borderId="0" xfId="0" applyNumberFormat="1" applyFont="1" applyFill="1" applyBorder="1" applyAlignment="1">
      <alignment horizontal="center" vertical="top" wrapText="1"/>
    </xf>
    <xf numFmtId="172" fontId="2" fillId="0" borderId="7" xfId="0" applyNumberFormat="1" applyFont="1" applyBorder="1" applyAlignment="1">
      <alignment horizontal="center"/>
    </xf>
    <xf numFmtId="172" fontId="0" fillId="3" borderId="8" xfId="0" applyNumberFormat="1" applyFont="1" applyFill="1" applyBorder="1" applyAlignment="1">
      <alignment horizontal="left"/>
    </xf>
    <xf numFmtId="0" fontId="0" fillId="3" borderId="8" xfId="0" applyFill="1" applyBorder="1" applyAlignment="1">
      <alignment horizontal="left"/>
    </xf>
    <xf numFmtId="0" fontId="0" fillId="3" borderId="3" xfId="0"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1</xdr:row>
      <xdr:rowOff>19050</xdr:rowOff>
    </xdr:from>
    <xdr:to>
      <xdr:col>13</xdr:col>
      <xdr:colOff>304800</xdr:colOff>
      <xdr:row>8</xdr:row>
      <xdr:rowOff>123825</xdr:rowOff>
    </xdr:to>
    <xdr:pic>
      <xdr:nvPicPr>
        <xdr:cNvPr id="1" name="Picture 2"/>
        <xdr:cNvPicPr preferRelativeResize="1">
          <a:picLocks noChangeAspect="1"/>
        </xdr:cNvPicPr>
      </xdr:nvPicPr>
      <xdr:blipFill>
        <a:blip r:embed="rId1"/>
        <a:stretch>
          <a:fillRect/>
        </a:stretch>
      </xdr:blipFill>
      <xdr:spPr>
        <a:xfrm>
          <a:off x="5962650" y="571500"/>
          <a:ext cx="2876550" cy="123825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5"/>
  <sheetViews>
    <sheetView tabSelected="1" workbookViewId="0" topLeftCell="A1">
      <selection activeCell="F5" sqref="F5"/>
    </sheetView>
  </sheetViews>
  <sheetFormatPr defaultColWidth="9.140625" defaultRowHeight="12.75"/>
  <cols>
    <col min="1" max="5" width="9.7109375" style="0" customWidth="1"/>
    <col min="6" max="6" width="11.421875" style="0" customWidth="1"/>
    <col min="7" max="16384" width="9.7109375" style="0" customWidth="1"/>
  </cols>
  <sheetData>
    <row r="1" spans="1:18" ht="43.5" customHeight="1">
      <c r="A1" s="53" t="s">
        <v>32</v>
      </c>
      <c r="B1" s="53"/>
      <c r="C1" s="53"/>
      <c r="D1" s="53"/>
      <c r="E1" s="53"/>
      <c r="F1" s="53"/>
      <c r="G1" s="53"/>
      <c r="H1" s="53"/>
      <c r="I1" s="53"/>
      <c r="J1" s="53"/>
      <c r="K1" s="53"/>
      <c r="L1" s="53"/>
      <c r="M1" s="53"/>
      <c r="N1" s="53"/>
      <c r="O1" s="11"/>
      <c r="P1" s="11"/>
      <c r="Q1" s="11"/>
      <c r="R1" s="11"/>
    </row>
    <row r="2" spans="1:18" ht="12.75">
      <c r="A2" s="4" t="s">
        <v>17</v>
      </c>
      <c r="B2" s="19">
        <v>135</v>
      </c>
      <c r="C2" s="21">
        <f>B2/25.4</f>
        <v>5.31496062992126</v>
      </c>
      <c r="E2" s="3" t="s">
        <v>21</v>
      </c>
      <c r="F2" s="18">
        <v>2.437</v>
      </c>
      <c r="H2" s="1" t="s">
        <v>31</v>
      </c>
      <c r="I2" s="1"/>
      <c r="N2" s="3"/>
      <c r="O2" s="12"/>
      <c r="P2" s="12"/>
      <c r="Q2" s="11"/>
      <c r="R2" s="11"/>
    </row>
    <row r="3" spans="1:18" ht="12.75">
      <c r="A3" s="4" t="s">
        <v>19</v>
      </c>
      <c r="B3" s="19">
        <v>100</v>
      </c>
      <c r="C3" s="21">
        <f>B3/25.4</f>
        <v>3.937007874015748</v>
      </c>
      <c r="E3" s="3" t="s">
        <v>11</v>
      </c>
      <c r="F3" s="17">
        <f>300/Freq</f>
        <v>123.10217480508823</v>
      </c>
      <c r="H3" s="1" t="s">
        <v>27</v>
      </c>
      <c r="I3" s="25">
        <f>300/(1.706*Diameter)</f>
        <v>1.7584994138335288</v>
      </c>
      <c r="N3" s="3"/>
      <c r="O3" s="12"/>
      <c r="P3" s="12"/>
      <c r="Q3" s="11"/>
      <c r="R3" s="11"/>
    </row>
    <row r="4" spans="1:18" ht="12.75">
      <c r="A4" s="4" t="s">
        <v>18</v>
      </c>
      <c r="B4" s="20">
        <f>Diameter/2</f>
        <v>50</v>
      </c>
      <c r="C4" s="21">
        <f>B4/25.4</f>
        <v>1.968503937007874</v>
      </c>
      <c r="E4" s="3" t="s">
        <v>12</v>
      </c>
      <c r="F4" s="17">
        <f>1.706*Diameter</f>
        <v>170.6</v>
      </c>
      <c r="H4" s="1" t="s">
        <v>28</v>
      </c>
      <c r="I4" s="25">
        <f>300/(1.306*Diameter)</f>
        <v>2.2970903522205206</v>
      </c>
      <c r="N4" s="10"/>
      <c r="O4" s="13"/>
      <c r="P4" s="14"/>
      <c r="Q4" s="11"/>
      <c r="R4" s="11"/>
    </row>
    <row r="5" spans="5:18" ht="12.75">
      <c r="E5" s="3" t="s">
        <v>13</v>
      </c>
      <c r="F5" s="17">
        <f>1/SQRT((1/Lo)*(1/Lo)-(1/Lc)*(1/Lc))</f>
        <v>177.80923306749233</v>
      </c>
      <c r="H5" s="1" t="s">
        <v>30</v>
      </c>
      <c r="I5" s="25">
        <f>300/(1.01*Diameter)</f>
        <v>2.9702970297029703</v>
      </c>
      <c r="O5" s="11"/>
      <c r="P5" s="15"/>
      <c r="Q5" s="13"/>
      <c r="R5" s="11"/>
    </row>
    <row r="6" spans="1:18" ht="12.75">
      <c r="A6" s="4" t="s">
        <v>29</v>
      </c>
      <c r="B6" s="11">
        <v>20</v>
      </c>
      <c r="E6" s="17"/>
      <c r="F6" s="1"/>
      <c r="G6" s="1"/>
      <c r="N6" s="5"/>
      <c r="O6" s="16"/>
      <c r="P6" s="14"/>
      <c r="Q6" s="11"/>
      <c r="R6" s="11"/>
    </row>
    <row r="7" spans="1:18" ht="12.75">
      <c r="A7" s="4" t="s">
        <v>16</v>
      </c>
      <c r="B7">
        <f>360/(B6*2)</f>
        <v>9</v>
      </c>
      <c r="D7" s="3" t="s">
        <v>14</v>
      </c>
      <c r="E7" s="24">
        <f>Lo/4</f>
        <v>30.775543701272056</v>
      </c>
      <c r="F7" s="21">
        <f>E7/25.4</f>
        <v>1.2116355787902384</v>
      </c>
      <c r="G7" t="s">
        <v>23</v>
      </c>
      <c r="O7" s="11"/>
      <c r="P7" s="15"/>
      <c r="Q7" s="16"/>
      <c r="R7" s="14"/>
    </row>
    <row r="8" spans="4:18" ht="12.75">
      <c r="D8" s="3" t="s">
        <v>15</v>
      </c>
      <c r="E8" s="24">
        <f>Lg/4</f>
        <v>44.45230826687308</v>
      </c>
      <c r="F8" s="21">
        <f>E8/25.4</f>
        <v>1.7500908766485466</v>
      </c>
      <c r="G8" s="2" t="s">
        <v>22</v>
      </c>
      <c r="O8" s="11"/>
      <c r="P8" s="11"/>
      <c r="Q8" s="11"/>
      <c r="R8" s="11"/>
    </row>
    <row r="9" ht="12.75">
      <c r="O9" s="1"/>
    </row>
    <row r="10" spans="1:10" s="1" customFormat="1" ht="12.75" customHeight="1">
      <c r="A10" s="54" t="s">
        <v>20</v>
      </c>
      <c r="B10" s="54"/>
      <c r="C10" s="54"/>
      <c r="D10" s="54"/>
      <c r="E10" s="54"/>
      <c r="F10" s="54"/>
      <c r="G10" s="54"/>
      <c r="H10" s="54"/>
      <c r="I10" s="54"/>
      <c r="J10" s="54"/>
    </row>
    <row r="11" spans="1:11" s="1" customFormat="1" ht="12.75" customHeight="1">
      <c r="A11" s="32" t="s">
        <v>33</v>
      </c>
      <c r="B11" s="55" t="s">
        <v>35</v>
      </c>
      <c r="C11" s="56"/>
      <c r="D11" s="56"/>
      <c r="E11" s="56"/>
      <c r="F11" s="56"/>
      <c r="G11" s="56"/>
      <c r="H11" s="56"/>
      <c r="I11" s="56"/>
      <c r="J11" s="57"/>
      <c r="K11" s="1" t="s">
        <v>42</v>
      </c>
    </row>
    <row r="12" spans="1:11" s="1" customFormat="1" ht="12.75" customHeight="1">
      <c r="A12" s="33" t="s">
        <v>33</v>
      </c>
      <c r="B12" s="50" t="s">
        <v>36</v>
      </c>
      <c r="C12" s="51"/>
      <c r="D12" s="51"/>
      <c r="E12" s="51"/>
      <c r="F12" s="51"/>
      <c r="G12" s="51"/>
      <c r="H12" s="51"/>
      <c r="I12" s="51"/>
      <c r="J12" s="52"/>
      <c r="K12" s="1" t="s">
        <v>43</v>
      </c>
    </row>
    <row r="13" spans="1:11" s="1" customFormat="1" ht="12.75" customHeight="1">
      <c r="A13" s="33" t="s">
        <v>33</v>
      </c>
      <c r="B13" s="34"/>
      <c r="C13" s="37">
        <f>Length</f>
        <v>135</v>
      </c>
      <c r="D13" s="35" t="s">
        <v>37</v>
      </c>
      <c r="E13" s="37">
        <f>Diameter</f>
        <v>100</v>
      </c>
      <c r="F13" s="35" t="s">
        <v>38</v>
      </c>
      <c r="G13" s="35"/>
      <c r="H13" s="35"/>
      <c r="I13" s="35"/>
      <c r="J13" s="36"/>
      <c r="K13" s="1" t="s">
        <v>44</v>
      </c>
    </row>
    <row r="14" spans="1:10" s="1" customFormat="1" ht="12.75" customHeight="1">
      <c r="A14" s="33" t="s">
        <v>33</v>
      </c>
      <c r="B14" s="50" t="s">
        <v>39</v>
      </c>
      <c r="C14" s="51"/>
      <c r="D14" s="51"/>
      <c r="E14" s="51"/>
      <c r="F14" s="51"/>
      <c r="G14" s="51"/>
      <c r="H14" s="51"/>
      <c r="I14" s="51"/>
      <c r="J14" s="52"/>
    </row>
    <row r="15" spans="1:10" s="1" customFormat="1" ht="12.75" customHeight="1">
      <c r="A15" s="33" t="s">
        <v>33</v>
      </c>
      <c r="B15" s="50" t="s">
        <v>40</v>
      </c>
      <c r="C15" s="51"/>
      <c r="D15" s="51"/>
      <c r="E15" s="51"/>
      <c r="F15" s="51"/>
      <c r="G15" s="51"/>
      <c r="H15" s="51"/>
      <c r="I15" s="51"/>
      <c r="J15" s="52"/>
    </row>
    <row r="16" spans="1:10" s="1" customFormat="1" ht="12.75" customHeight="1">
      <c r="A16" s="33" t="s">
        <v>34</v>
      </c>
      <c r="B16" s="50" t="s">
        <v>41</v>
      </c>
      <c r="C16" s="51"/>
      <c r="D16" s="51"/>
      <c r="E16" s="51"/>
      <c r="F16" s="51"/>
      <c r="G16" s="51"/>
      <c r="H16" s="51"/>
      <c r="I16" s="51"/>
      <c r="J16" s="52"/>
    </row>
    <row r="17" spans="1:13" s="1" customFormat="1" ht="12.75">
      <c r="A17" s="22" t="s">
        <v>0</v>
      </c>
      <c r="B17" s="23">
        <v>0</v>
      </c>
      <c r="C17" s="23">
        <v>3</v>
      </c>
      <c r="D17" s="38">
        <f aca="true" t="shared" si="0" ref="D17:D25">$B$3/2/1000</f>
        <v>0.05</v>
      </c>
      <c r="E17" s="39">
        <f>-D17*TAN(RADIANS($B$7))</f>
        <v>-0.007919222016226813</v>
      </c>
      <c r="F17" s="38">
        <f aca="true" t="shared" si="1" ref="F17:F24">F18+$B$60</f>
        <v>0.135</v>
      </c>
      <c r="G17" s="38">
        <f aca="true" t="shared" si="2" ref="G17:G26">D17</f>
        <v>0.05</v>
      </c>
      <c r="H17" s="39">
        <f aca="true" t="shared" si="3" ref="H17:H26">-E17</f>
        <v>0.007919222016226813</v>
      </c>
      <c r="I17" s="38">
        <f aca="true" t="shared" si="4" ref="I17:I26">F17</f>
        <v>0.135</v>
      </c>
      <c r="J17" s="40"/>
      <c r="L17" s="26" t="s">
        <v>47</v>
      </c>
      <c r="M17" s="27" t="s">
        <v>48</v>
      </c>
    </row>
    <row r="18" spans="1:13" s="1" customFormat="1" ht="12.75">
      <c r="A18" s="22" t="s">
        <v>1</v>
      </c>
      <c r="B18" s="23">
        <v>0</v>
      </c>
      <c r="C18" s="23">
        <v>3</v>
      </c>
      <c r="D18" s="38">
        <f t="shared" si="0"/>
        <v>0.05</v>
      </c>
      <c r="E18" s="39">
        <f aca="true" t="shared" si="5" ref="E18:E26">D18*TAN(RADIANS($B$7))</f>
        <v>0.007919222016226813</v>
      </c>
      <c r="F18" s="38">
        <f t="shared" si="1"/>
        <v>0.11812500000000001</v>
      </c>
      <c r="G18" s="38">
        <f t="shared" si="2"/>
        <v>0.05</v>
      </c>
      <c r="H18" s="39">
        <f t="shared" si="3"/>
        <v>-0.007919222016226813</v>
      </c>
      <c r="I18" s="38">
        <f t="shared" si="4"/>
        <v>0.11812500000000001</v>
      </c>
      <c r="J18" s="40"/>
      <c r="L18" s="28">
        <v>1</v>
      </c>
      <c r="M18" s="29">
        <v>2.412</v>
      </c>
    </row>
    <row r="19" spans="1:13" s="1" customFormat="1" ht="12.75">
      <c r="A19" s="22" t="s">
        <v>1</v>
      </c>
      <c r="B19" s="23">
        <v>0</v>
      </c>
      <c r="C19" s="23">
        <v>3</v>
      </c>
      <c r="D19" s="38">
        <f t="shared" si="0"/>
        <v>0.05</v>
      </c>
      <c r="E19" s="39">
        <f t="shared" si="5"/>
        <v>0.007919222016226813</v>
      </c>
      <c r="F19" s="38">
        <f t="shared" si="1"/>
        <v>0.10125</v>
      </c>
      <c r="G19" s="38">
        <f t="shared" si="2"/>
        <v>0.05</v>
      </c>
      <c r="H19" s="39">
        <f t="shared" si="3"/>
        <v>-0.007919222016226813</v>
      </c>
      <c r="I19" s="38">
        <f t="shared" si="4"/>
        <v>0.10125</v>
      </c>
      <c r="J19" s="40"/>
      <c r="L19" s="28">
        <v>2</v>
      </c>
      <c r="M19" s="29">
        <v>2.417</v>
      </c>
    </row>
    <row r="20" spans="1:13" s="1" customFormat="1" ht="12.75">
      <c r="A20" s="22" t="s">
        <v>1</v>
      </c>
      <c r="B20" s="23">
        <v>0</v>
      </c>
      <c r="C20" s="23">
        <v>3</v>
      </c>
      <c r="D20" s="38">
        <f t="shared" si="0"/>
        <v>0.05</v>
      </c>
      <c r="E20" s="39">
        <f t="shared" si="5"/>
        <v>0.007919222016226813</v>
      </c>
      <c r="F20" s="38">
        <f t="shared" si="1"/>
        <v>0.084375</v>
      </c>
      <c r="G20" s="38">
        <f t="shared" si="2"/>
        <v>0.05</v>
      </c>
      <c r="H20" s="39">
        <f t="shared" si="3"/>
        <v>-0.007919222016226813</v>
      </c>
      <c r="I20" s="38">
        <f t="shared" si="4"/>
        <v>0.084375</v>
      </c>
      <c r="J20" s="40"/>
      <c r="L20" s="28">
        <v>3</v>
      </c>
      <c r="M20" s="29">
        <v>2.422</v>
      </c>
    </row>
    <row r="21" spans="1:13" s="1" customFormat="1" ht="12.75">
      <c r="A21" s="22" t="s">
        <v>1</v>
      </c>
      <c r="B21" s="23">
        <v>0</v>
      </c>
      <c r="C21" s="23">
        <v>3</v>
      </c>
      <c r="D21" s="38">
        <f t="shared" si="0"/>
        <v>0.05</v>
      </c>
      <c r="E21" s="39">
        <f t="shared" si="5"/>
        <v>0.007919222016226813</v>
      </c>
      <c r="F21" s="38">
        <f t="shared" si="1"/>
        <v>0.0675</v>
      </c>
      <c r="G21" s="38">
        <f t="shared" si="2"/>
        <v>0.05</v>
      </c>
      <c r="H21" s="39">
        <f t="shared" si="3"/>
        <v>-0.007919222016226813</v>
      </c>
      <c r="I21" s="38">
        <f t="shared" si="4"/>
        <v>0.0675</v>
      </c>
      <c r="J21" s="40"/>
      <c r="L21" s="28">
        <v>4</v>
      </c>
      <c r="M21" s="29">
        <v>2.427</v>
      </c>
    </row>
    <row r="22" spans="1:13" ht="12.75">
      <c r="A22" s="22" t="s">
        <v>1</v>
      </c>
      <c r="B22" s="23">
        <v>0</v>
      </c>
      <c r="C22" s="23">
        <v>3</v>
      </c>
      <c r="D22" s="38">
        <f t="shared" si="0"/>
        <v>0.05</v>
      </c>
      <c r="E22" s="39">
        <f t="shared" si="5"/>
        <v>0.007919222016226813</v>
      </c>
      <c r="F22" s="38">
        <f t="shared" si="1"/>
        <v>0.050625</v>
      </c>
      <c r="G22" s="38">
        <f t="shared" si="2"/>
        <v>0.05</v>
      </c>
      <c r="H22" s="39">
        <f t="shared" si="3"/>
        <v>-0.007919222016226813</v>
      </c>
      <c r="I22" s="38">
        <f t="shared" si="4"/>
        <v>0.050625</v>
      </c>
      <c r="J22" s="41"/>
      <c r="K22" s="1"/>
      <c r="L22" s="28">
        <v>5</v>
      </c>
      <c r="M22" s="29">
        <v>2.432</v>
      </c>
    </row>
    <row r="23" spans="1:13" ht="12.75">
      <c r="A23" s="22" t="s">
        <v>1</v>
      </c>
      <c r="B23" s="23">
        <v>0</v>
      </c>
      <c r="C23" s="23">
        <v>3</v>
      </c>
      <c r="D23" s="38">
        <f t="shared" si="0"/>
        <v>0.05</v>
      </c>
      <c r="E23" s="39">
        <f t="shared" si="5"/>
        <v>0.007919222016226813</v>
      </c>
      <c r="F23" s="38">
        <f t="shared" si="1"/>
        <v>0.03375</v>
      </c>
      <c r="G23" s="38">
        <f t="shared" si="2"/>
        <v>0.05</v>
      </c>
      <c r="H23" s="39">
        <f t="shared" si="3"/>
        <v>-0.007919222016226813</v>
      </c>
      <c r="I23" s="38">
        <f t="shared" si="4"/>
        <v>0.03375</v>
      </c>
      <c r="J23" s="41"/>
      <c r="K23" s="1"/>
      <c r="L23" s="28">
        <v>6</v>
      </c>
      <c r="M23" s="29">
        <v>2.437</v>
      </c>
    </row>
    <row r="24" spans="1:13" ht="12.75">
      <c r="A24" s="22" t="s">
        <v>1</v>
      </c>
      <c r="B24" s="23">
        <v>0</v>
      </c>
      <c r="C24" s="23">
        <v>3</v>
      </c>
      <c r="D24" s="38">
        <f t="shared" si="0"/>
        <v>0.05</v>
      </c>
      <c r="E24" s="39">
        <f t="shared" si="5"/>
        <v>0.007919222016226813</v>
      </c>
      <c r="F24" s="38">
        <f t="shared" si="1"/>
        <v>0.016875</v>
      </c>
      <c r="G24" s="38">
        <f t="shared" si="2"/>
        <v>0.05</v>
      </c>
      <c r="H24" s="39">
        <f t="shared" si="3"/>
        <v>-0.007919222016226813</v>
      </c>
      <c r="I24" s="38">
        <f t="shared" si="4"/>
        <v>0.016875</v>
      </c>
      <c r="J24" s="41"/>
      <c r="K24" s="1"/>
      <c r="L24" s="28">
        <v>7</v>
      </c>
      <c r="M24" s="29">
        <v>2.442</v>
      </c>
    </row>
    <row r="25" spans="1:13" ht="12.75">
      <c r="A25" s="22" t="s">
        <v>1</v>
      </c>
      <c r="B25" s="23">
        <v>0</v>
      </c>
      <c r="C25" s="23">
        <v>3</v>
      </c>
      <c r="D25" s="38">
        <f t="shared" si="0"/>
        <v>0.05</v>
      </c>
      <c r="E25" s="39">
        <f t="shared" si="5"/>
        <v>0.007919222016226813</v>
      </c>
      <c r="F25" s="38">
        <v>0</v>
      </c>
      <c r="G25" s="38">
        <f t="shared" si="2"/>
        <v>0.05</v>
      </c>
      <c r="H25" s="39">
        <f t="shared" si="3"/>
        <v>-0.007919222016226813</v>
      </c>
      <c r="I25" s="38">
        <f t="shared" si="4"/>
        <v>0</v>
      </c>
      <c r="J25" s="41"/>
      <c r="L25" s="28">
        <v>8</v>
      </c>
      <c r="M25" s="29">
        <v>2.447</v>
      </c>
    </row>
    <row r="26" spans="1:13" ht="12.75">
      <c r="A26" s="22" t="s">
        <v>1</v>
      </c>
      <c r="B26" s="23">
        <v>0</v>
      </c>
      <c r="C26" s="23">
        <v>3</v>
      </c>
      <c r="D26" s="38">
        <f>D25/2.514</f>
        <v>0.019888623707239463</v>
      </c>
      <c r="E26" s="39">
        <f t="shared" si="5"/>
        <v>0.003150048534696426</v>
      </c>
      <c r="F26" s="38">
        <f>F25</f>
        <v>0</v>
      </c>
      <c r="G26" s="38">
        <f t="shared" si="2"/>
        <v>0.019888623707239463</v>
      </c>
      <c r="H26" s="39">
        <f t="shared" si="3"/>
        <v>-0.003150048534696426</v>
      </c>
      <c r="I26" s="38">
        <f t="shared" si="4"/>
        <v>0</v>
      </c>
      <c r="J26" s="41"/>
      <c r="L26" s="28">
        <v>9</v>
      </c>
      <c r="M26" s="29">
        <v>2.452</v>
      </c>
    </row>
    <row r="27" spans="1:13" ht="12.75">
      <c r="A27" s="22" t="s">
        <v>2</v>
      </c>
      <c r="B27" s="42">
        <v>0</v>
      </c>
      <c r="C27" s="42">
        <f>(90/(360/B6))-1</f>
        <v>4</v>
      </c>
      <c r="D27" s="42">
        <v>0</v>
      </c>
      <c r="E27" s="39">
        <v>0</v>
      </c>
      <c r="F27" s="42">
        <f>B7*2</f>
        <v>18</v>
      </c>
      <c r="G27" s="42"/>
      <c r="H27" s="42"/>
      <c r="I27" s="42"/>
      <c r="J27" s="41"/>
      <c r="L27" s="28">
        <v>10</v>
      </c>
      <c r="M27" s="29">
        <v>2.457</v>
      </c>
    </row>
    <row r="28" spans="1:13" ht="12.75">
      <c r="A28" s="22" t="s">
        <v>2</v>
      </c>
      <c r="B28" s="42">
        <v>0</v>
      </c>
      <c r="C28" s="42">
        <v>0</v>
      </c>
      <c r="D28" s="42">
        <v>0</v>
      </c>
      <c r="E28" s="42">
        <v>0</v>
      </c>
      <c r="F28" s="42">
        <f>B7</f>
        <v>9</v>
      </c>
      <c r="G28" s="42"/>
      <c r="H28" s="42"/>
      <c r="I28" s="42"/>
      <c r="J28" s="41"/>
      <c r="L28" s="28">
        <v>11</v>
      </c>
      <c r="M28" s="29">
        <v>2.462</v>
      </c>
    </row>
    <row r="29" spans="1:13" ht="12.75">
      <c r="A29" s="43" t="s">
        <v>0</v>
      </c>
      <c r="B29" s="42">
        <v>0</v>
      </c>
      <c r="C29" s="42">
        <v>0</v>
      </c>
      <c r="D29" s="39">
        <f>D17/E62</f>
        <v>0.008522727272727274</v>
      </c>
      <c r="E29" s="39">
        <f>D29</f>
        <v>0.008522727272727274</v>
      </c>
      <c r="F29" s="38">
        <f>F25</f>
        <v>0</v>
      </c>
      <c r="G29" s="42">
        <v>90</v>
      </c>
      <c r="H29" s="42">
        <v>0</v>
      </c>
      <c r="I29" s="39">
        <f>D17/E63</f>
        <v>0.0005511931818181819</v>
      </c>
      <c r="J29" s="41"/>
      <c r="L29" s="28">
        <v>12</v>
      </c>
      <c r="M29" s="29">
        <v>2.467</v>
      </c>
    </row>
    <row r="30" spans="1:13" ht="12.75">
      <c r="A30" s="43" t="s">
        <v>3</v>
      </c>
      <c r="B30" s="42">
        <v>0</v>
      </c>
      <c r="C30" s="42">
        <v>110</v>
      </c>
      <c r="D30" s="42"/>
      <c r="E30" s="42"/>
      <c r="F30" s="42"/>
      <c r="G30" s="42"/>
      <c r="H30" s="42"/>
      <c r="I30" s="42"/>
      <c r="J30" s="41"/>
      <c r="L30" s="30">
        <v>13</v>
      </c>
      <c r="M30" s="31">
        <v>2.472</v>
      </c>
    </row>
    <row r="31" spans="1:10" ht="12.75">
      <c r="A31" s="43" t="s">
        <v>4</v>
      </c>
      <c r="B31" s="42">
        <v>1</v>
      </c>
      <c r="C31" s="42">
        <v>3</v>
      </c>
      <c r="D31" s="38">
        <f>E51</f>
        <v>0.035355339059327376</v>
      </c>
      <c r="E31" s="38">
        <f>E51</f>
        <v>0.035355339059327376</v>
      </c>
      <c r="F31" s="38">
        <f>B59</f>
        <v>0.04445230826687308</v>
      </c>
      <c r="G31" s="38">
        <f>E52</f>
        <v>0.013593743413454967</v>
      </c>
      <c r="H31" s="38">
        <f>E52</f>
        <v>0.013593743413454967</v>
      </c>
      <c r="I31" s="38">
        <f>B59</f>
        <v>0.04445230826687308</v>
      </c>
      <c r="J31" s="41">
        <v>0.0012</v>
      </c>
    </row>
    <row r="32" spans="1:10" ht="12.75">
      <c r="A32" s="43" t="s">
        <v>2</v>
      </c>
      <c r="B32" s="42">
        <v>0</v>
      </c>
      <c r="C32" s="42">
        <v>0</v>
      </c>
      <c r="D32" s="42">
        <v>0</v>
      </c>
      <c r="E32" s="42">
        <v>0</v>
      </c>
      <c r="F32" s="42">
        <v>45</v>
      </c>
      <c r="G32" s="42">
        <v>0</v>
      </c>
      <c r="H32" s="42">
        <v>0</v>
      </c>
      <c r="I32" s="44">
        <f>-F17</f>
        <v>-0.135</v>
      </c>
      <c r="J32" s="41"/>
    </row>
    <row r="33" spans="1:10" ht="12.75">
      <c r="A33" s="43" t="s">
        <v>2</v>
      </c>
      <c r="B33" s="42">
        <v>0</v>
      </c>
      <c r="C33" s="42">
        <v>0</v>
      </c>
      <c r="D33" s="42">
        <v>0</v>
      </c>
      <c r="E33" s="42">
        <v>90</v>
      </c>
      <c r="F33" s="42">
        <v>0</v>
      </c>
      <c r="G33" s="42">
        <v>0</v>
      </c>
      <c r="H33" s="42">
        <v>0</v>
      </c>
      <c r="I33" s="42">
        <v>0</v>
      </c>
      <c r="J33" s="41"/>
    </row>
    <row r="34" spans="1:10" ht="12.75">
      <c r="A34" s="43" t="s">
        <v>5</v>
      </c>
      <c r="B34" s="42"/>
      <c r="C34" s="42"/>
      <c r="D34" s="42"/>
      <c r="E34" s="42"/>
      <c r="F34" s="42"/>
      <c r="G34" s="42"/>
      <c r="H34" s="42"/>
      <c r="I34" s="42"/>
      <c r="J34" s="41"/>
    </row>
    <row r="35" spans="1:10" ht="12.75">
      <c r="A35" s="43" t="s">
        <v>6</v>
      </c>
      <c r="B35" s="42">
        <v>0</v>
      </c>
      <c r="C35" s="42">
        <v>7</v>
      </c>
      <c r="D35" s="42">
        <v>0</v>
      </c>
      <c r="E35" s="42">
        <v>0</v>
      </c>
      <c r="F35" s="42">
        <v>2380</v>
      </c>
      <c r="G35" s="42">
        <v>20</v>
      </c>
      <c r="H35" s="42"/>
      <c r="I35" s="42"/>
      <c r="J35" s="41"/>
    </row>
    <row r="36" spans="1:10" ht="12.75">
      <c r="A36" s="43" t="s">
        <v>7</v>
      </c>
      <c r="B36" s="42">
        <v>0</v>
      </c>
      <c r="C36" s="42">
        <v>1</v>
      </c>
      <c r="D36" s="42">
        <v>1</v>
      </c>
      <c r="E36" s="42">
        <v>0</v>
      </c>
      <c r="F36" s="42">
        <v>1</v>
      </c>
      <c r="G36" s="42">
        <v>0</v>
      </c>
      <c r="H36" s="42"/>
      <c r="I36" s="42"/>
      <c r="J36" s="41"/>
    </row>
    <row r="37" spans="1:10" ht="12.75">
      <c r="A37" s="43" t="s">
        <v>8</v>
      </c>
      <c r="B37" s="42">
        <v>5</v>
      </c>
      <c r="C37" s="42">
        <v>0</v>
      </c>
      <c r="D37" s="42">
        <v>0</v>
      </c>
      <c r="E37" s="42">
        <v>0</v>
      </c>
      <c r="F37" s="45">
        <v>37200000</v>
      </c>
      <c r="G37" s="42"/>
      <c r="H37" s="42"/>
      <c r="I37" s="42"/>
      <c r="J37" s="41"/>
    </row>
    <row r="38" spans="1:10" ht="12.75">
      <c r="A38" s="43" t="s">
        <v>9</v>
      </c>
      <c r="B38" s="42">
        <v>0</v>
      </c>
      <c r="C38" s="42">
        <v>73</v>
      </c>
      <c r="D38" s="42">
        <v>73</v>
      </c>
      <c r="E38" s="42">
        <v>1500</v>
      </c>
      <c r="F38" s="42">
        <v>-90</v>
      </c>
      <c r="G38" s="42">
        <v>90</v>
      </c>
      <c r="H38" s="42">
        <v>5</v>
      </c>
      <c r="I38" s="42">
        <v>5</v>
      </c>
      <c r="J38" s="41">
        <v>10000</v>
      </c>
    </row>
    <row r="39" spans="1:10" ht="12.75">
      <c r="A39" s="46" t="s">
        <v>10</v>
      </c>
      <c r="B39" s="47"/>
      <c r="C39" s="47"/>
      <c r="D39" s="47"/>
      <c r="E39" s="47"/>
      <c r="F39" s="47"/>
      <c r="G39" s="47"/>
      <c r="H39" s="47"/>
      <c r="I39" s="47"/>
      <c r="J39" s="48"/>
    </row>
    <row r="50" spans="1:6" ht="12.75">
      <c r="A50" s="1" t="s">
        <v>46</v>
      </c>
      <c r="E50" s="1"/>
      <c r="F50" s="1"/>
    </row>
    <row r="51" spans="4:6" ht="12.75">
      <c r="D51" s="6"/>
      <c r="E51" s="7">
        <f>SQRT((POWER(Radius,2))/2)/1000</f>
        <v>0.035355339059327376</v>
      </c>
      <c r="F51" s="6"/>
    </row>
    <row r="52" spans="4:6" ht="12.75">
      <c r="D52" s="6"/>
      <c r="E52" s="7">
        <f>SQRT((POWER(Radius-Lo/4,2))/2)/1000</f>
        <v>0.013593743413454967</v>
      </c>
      <c r="F52" s="6"/>
    </row>
    <row r="53" spans="4:6" ht="12.75">
      <c r="D53" s="6"/>
      <c r="E53" s="6"/>
      <c r="F53" s="6"/>
    </row>
    <row r="54" spans="4:6" ht="12.75">
      <c r="D54" s="6">
        <f>B59/3</f>
        <v>0.014817436088957693</v>
      </c>
      <c r="E54" s="6">
        <f>B59/1</f>
        <v>0.04445230826687308</v>
      </c>
      <c r="F54" s="7">
        <f aca="true" t="shared" si="6" ref="F54:F62">I17-I18</f>
        <v>0.016875</v>
      </c>
    </row>
    <row r="55" spans="4:6" ht="12.75">
      <c r="D55" s="6">
        <f>B59+D54</f>
        <v>0.059269744355830774</v>
      </c>
      <c r="E55" s="6">
        <f>B59+E54</f>
        <v>0.08890461653374616</v>
      </c>
      <c r="F55" s="7">
        <f t="shared" si="6"/>
        <v>0.016875</v>
      </c>
    </row>
    <row r="56" spans="4:6" ht="12.75">
      <c r="D56" s="6">
        <f>B59-D55</f>
        <v>-0.014817436088957692</v>
      </c>
      <c r="E56" s="6">
        <f>B59-E54</f>
        <v>0</v>
      </c>
      <c r="F56" s="7">
        <f t="shared" si="6"/>
        <v>0.016875</v>
      </c>
    </row>
    <row r="57" spans="4:6" ht="12.75">
      <c r="D57" s="6"/>
      <c r="E57" s="6"/>
      <c r="F57" s="7">
        <f t="shared" si="6"/>
        <v>0.016875</v>
      </c>
    </row>
    <row r="58" spans="4:6" ht="12.75">
      <c r="D58" s="6"/>
      <c r="E58" s="6"/>
      <c r="F58" s="7">
        <f t="shared" si="6"/>
        <v>0.016875</v>
      </c>
    </row>
    <row r="59" spans="1:6" ht="12.75">
      <c r="A59" s="4" t="s">
        <v>25</v>
      </c>
      <c r="B59" s="8">
        <f>Lg/4/1000</f>
        <v>0.04445230826687308</v>
      </c>
      <c r="D59" s="6"/>
      <c r="F59" s="7">
        <f t="shared" si="6"/>
        <v>0.016875</v>
      </c>
    </row>
    <row r="60" spans="1:6" ht="12.75">
      <c r="A60" s="4" t="s">
        <v>26</v>
      </c>
      <c r="B60" s="9">
        <f>Length/8000</f>
        <v>0.016875</v>
      </c>
      <c r="D60" s="6"/>
      <c r="E60" s="6"/>
      <c r="F60" s="7">
        <f t="shared" si="6"/>
        <v>0.016875</v>
      </c>
    </row>
    <row r="61" spans="1:6" ht="12.75">
      <c r="A61">
        <f>1.5*B60-B59</f>
        <v>-0.01913980826687308</v>
      </c>
      <c r="B61" s="11"/>
      <c r="D61" s="6"/>
      <c r="E61" s="6"/>
      <c r="F61" s="7">
        <f t="shared" si="6"/>
        <v>0.016875</v>
      </c>
    </row>
    <row r="62" spans="1:6" ht="12.75">
      <c r="A62" s="4" t="s">
        <v>24</v>
      </c>
      <c r="B62" s="9">
        <f>(I23+I24)/2</f>
        <v>0.0253125</v>
      </c>
      <c r="D62" s="6"/>
      <c r="E62" s="6">
        <f>0.088/0.015</f>
        <v>5.866666666666666</v>
      </c>
      <c r="F62" s="7">
        <f t="shared" si="6"/>
        <v>0</v>
      </c>
    </row>
    <row r="63" spans="4:5" ht="12.75">
      <c r="D63" s="6"/>
      <c r="E63" s="6">
        <f>0.088/0.0009701</f>
        <v>90.7122977012679</v>
      </c>
    </row>
    <row r="64" spans="1:6" ht="12.75">
      <c r="A64" s="4"/>
      <c r="B64" s="11"/>
      <c r="D64" s="6"/>
      <c r="E64" s="6"/>
      <c r="F64" s="6"/>
    </row>
    <row r="65" spans="3:6" ht="12.75">
      <c r="C65" s="4" t="s">
        <v>45</v>
      </c>
      <c r="D65" s="49">
        <f>Lo/4</f>
        <v>30.775543701272056</v>
      </c>
      <c r="F65" s="6"/>
    </row>
  </sheetData>
  <mergeCells count="7">
    <mergeCell ref="B14:J14"/>
    <mergeCell ref="B15:J15"/>
    <mergeCell ref="B16:J16"/>
    <mergeCell ref="A1:N1"/>
    <mergeCell ref="A10:J10"/>
    <mergeCell ref="B11:J11"/>
    <mergeCell ref="B12:J12"/>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digital image foundry,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Cantenna Calc</dc:title>
  <dc:subject>Circular waveguide nec calculator</dc:subject>
  <dc:creator>Ivor Hewitt</dc:creator>
  <cp:keywords/>
  <dc:description>Modified by Jeff Liebermann
jeffl@comix.santa-cruz.ca.us
11/04/2005</dc:description>
  <cp:lastModifiedBy>Jeff Liebermann</cp:lastModifiedBy>
  <dcterms:created xsi:type="dcterms:W3CDTF">2003-04-14T06:36:58Z</dcterms:created>
  <dcterms:modified xsi:type="dcterms:W3CDTF">2005-11-07T08:19:17Z</dcterms:modified>
  <cp:category/>
  <cp:version/>
  <cp:contentType/>
  <cp:contentStatus/>
</cp:coreProperties>
</file>